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luxul de numerar" sheetId="1" state="visible" r:id="rId2"/>
    <sheet name="Plan general de finanţare a ide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<sst xmlns="http://schemas.openxmlformats.org/spreadsheetml/2006/main" count="60" uniqueCount="59">
  <si>
    <t xml:space="preserve">Nr. crt.</t>
  </si>
  <si>
    <t xml:space="preserve">Explicaţii </t>
  </si>
  <si>
    <t xml:space="preserve"> ANUL I</t>
  </si>
  <si>
    <t xml:space="preserve">ANUL II</t>
  </si>
  <si>
    <t xml:space="preserve">ANUL III</t>
  </si>
  <si>
    <t xml:space="preserve">ANUL IV</t>
  </si>
  <si>
    <t xml:space="preserve">I</t>
  </si>
  <si>
    <t xml:space="preserve">Sold iniţial disponibil (casă şi bancă)</t>
  </si>
  <si>
    <t xml:space="preserve">A</t>
  </si>
  <si>
    <t xml:space="preserve">Intrări de lichidităţi (1+2+3+4)</t>
  </si>
  <si>
    <t xml:space="preserve">din vânzări</t>
  </si>
  <si>
    <t xml:space="preserve">din credite primite</t>
  </si>
  <si>
    <t xml:space="preserve">alte intrări de numerar (aport propriu, etc.)</t>
  </si>
  <si>
    <t xml:space="preserve">Subventie de minimis</t>
  </si>
  <si>
    <t xml:space="preserve">Total disponibil (I+A)</t>
  </si>
  <si>
    <t xml:space="preserve">B</t>
  </si>
  <si>
    <t xml:space="preserve">Cheltuieli</t>
  </si>
  <si>
    <t xml:space="preserve">Cheltuieli pentru investitii</t>
  </si>
  <si>
    <t xml:space="preserve">Cheltuieli cu materii prime şi materiale consumabile aferente activităţii desfaşurate</t>
  </si>
  <si>
    <t xml:space="preserve">Salarii (inclusiv cheltuielile aferente)</t>
  </si>
  <si>
    <t xml:space="preserve">Chirii</t>
  </si>
  <si>
    <t xml:space="preserve">Utilităţi</t>
  </si>
  <si>
    <r>
      <rPr>
        <sz val="12"/>
        <color rgb="FF000000"/>
        <rFont val="Trebuchet MS"/>
        <family val="0"/>
        <charset val="238"/>
      </rPr>
      <t xml:space="preserve">Costuri func</t>
    </r>
    <r>
      <rPr>
        <sz val="12"/>
        <color rgb="FF000000"/>
        <rFont val="DejaVu Sans"/>
        <family val="0"/>
        <charset val="238"/>
      </rPr>
      <t xml:space="preserve">ţ</t>
    </r>
    <r>
      <rPr>
        <sz val="12"/>
        <color rgb="FF000000"/>
        <rFont val="Trebuchet MS"/>
        <family val="0"/>
        <charset val="238"/>
      </rPr>
      <t xml:space="preserve">ionare birou (motorina)</t>
    </r>
  </si>
  <si>
    <t xml:space="preserve">Cheltuieli de marketing</t>
  </si>
  <si>
    <t xml:space="preserve">Reparaţii/Întreţinere</t>
  </si>
  <si>
    <t xml:space="preserve">Servicii cu terţii (contabilitate, expertiza juridica, etc)</t>
  </si>
  <si>
    <t xml:space="preserve">Alte tipuri de cheltuieli (asigurari, rovigniete, diurna, cazare)</t>
  </si>
  <si>
    <t xml:space="preserve">C</t>
  </si>
  <si>
    <t xml:space="preserve">Credite (1+2)</t>
  </si>
  <si>
    <t xml:space="preserve"> 1</t>
  </si>
  <si>
    <t xml:space="preserve">Rambursări rate de credit scadente</t>
  </si>
  <si>
    <t xml:space="preserve"> 2</t>
  </si>
  <si>
    <t xml:space="preserve">Dobânzi şi comisioane</t>
  </si>
  <si>
    <t xml:space="preserve">D</t>
  </si>
  <si>
    <t xml:space="preserve">Plăţi/încasări pentru impozite şi taxe (1-2+3)</t>
  </si>
  <si>
    <t xml:space="preserve">Plăţi TVA</t>
  </si>
  <si>
    <t xml:space="preserve">Rambursări TVA</t>
  </si>
  <si>
    <t xml:space="preserve">Impozit pe profit/cifră de afaceri</t>
  </si>
  <si>
    <t xml:space="preserve">E</t>
  </si>
  <si>
    <t xml:space="preserve">Dividende</t>
  </si>
  <si>
    <t xml:space="preserve">F</t>
  </si>
  <si>
    <t xml:space="preserve">Total utilizări numerar (B+C+D+E)</t>
  </si>
  <si>
    <t xml:space="preserve">G</t>
  </si>
  <si>
    <t xml:space="preserve">Flux net de lichidităţi (A-F)</t>
  </si>
  <si>
    <t xml:space="preserve">II</t>
  </si>
  <si>
    <t xml:space="preserve">Sold final disponibil (I+G)</t>
  </si>
  <si>
    <t xml:space="preserve">Categorie de cheltuieli  eligibile conform GSCS OS 3.7, din care:</t>
  </si>
  <si>
    <t xml:space="preserve">Sursa de finanţare</t>
  </si>
  <si>
    <t xml:space="preserve">Subventie minimis</t>
  </si>
  <si>
    <t xml:space="preserve">Contributie proprie</t>
  </si>
  <si>
    <t xml:space="preserve">Total</t>
  </si>
  <si>
    <t xml:space="preserve">Chirie auto</t>
  </si>
  <si>
    <t xml:space="preserve">Salariu Net Sofer</t>
  </si>
  <si>
    <t xml:space="preserve">Taxe aferente salariului net Sofer</t>
  </si>
  <si>
    <t xml:space="preserve">Salariu Net Agent Vanzari</t>
  </si>
  <si>
    <t xml:space="preserve">Taxe aferente salariului net Agent vanzari</t>
  </si>
  <si>
    <t xml:space="preserve">Cheltuieli contabile</t>
  </si>
  <si>
    <t xml:space="preserve">Utilitati (tel, internet, etc)</t>
  </si>
  <si>
    <t xml:space="preserve">Asigurare Auto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</si>
</sst>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_-* #,##0.00_-;\-* #,##0.00_-;_-* \-??_-;_-@_-"/>
  </numFmts>
  <fonts count="11">
    <font>
      <sz val="11"/>
      <color rgb="FF000000"/>
      <name val="Calibri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Trebuchet MS"/>
      <family val="0"/>
      <charset val="238"/>
    </font>
    <font>
      <sz val="11"/>
      <color rgb="FF000000"/>
      <name val="Trebuchet MS"/>
      <family val="0"/>
      <charset val="238"/>
    </font>
    <font>
      <sz val="12"/>
      <color rgb="FF000000"/>
      <name val="Trebuchet MS"/>
      <family val="0"/>
      <charset val="238"/>
    </font>
    <font>
      <sz val="12"/>
      <color rgb="FF000000"/>
      <name val="DejaVu Sans"/>
      <family val="0"/>
      <charset val="238"/>
    </font>
    <font>
      <b val="true"/>
      <sz val="10.5"/>
      <color rgb="FF000000"/>
      <name val="Calibri"/>
      <family val="0"/>
      <charset val="238"/>
    </font>
    <font>
      <sz val="10.5"/>
      <color rgb="FF000000"/>
      <name val="Calibri"/>
      <family val="0"/>
      <charset val="238"/>
    </font>
    <font>
      <sz val="11"/>
      <color rgb="FF000000"/>
      <name val="Trebuchet MS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9CC2E5"/>
        <bgColor rgb="FFCCCCFF"/>
      </patternFill>
    </fill>
    <fill>
      <patternFill patternType="solid">
        <fgColor rgb="FFC5E0B3"/>
        <bgColor rgb="FFCCFFCC"/>
      </patternFill>
    </fill>
    <fill>
      <patternFill patternType="solid">
        <fgColor rgb="FF999999"/>
        <bgColor rgb="FF80808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CC2E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G33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C18" activeCellId="0" sqref="C18"/>
    </sheetView>
  </sheetViews>
  <sheetFormatPr defaultRowHeight="15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45.23"/>
    <col collapsed="false" customWidth="true" hidden="false" outlineLevel="0" max="6" min="3" style="0" width="13.71"/>
    <col collapsed="false" customWidth="true" hidden="false" outlineLevel="0" max="1025" min="7" style="0" width="9"/>
  </cols>
  <sheetData>
    <row r="3" customFormat="false" ht="12.75" hidden="false" customHeight="true" outlineLevel="0" collapsed="false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2"/>
    </row>
    <row r="5" customFormat="false" ht="16.5" hidden="false" customHeight="false" outlineLevel="0" collapsed="false">
      <c r="A5" s="1" t="s">
        <v>6</v>
      </c>
      <c r="B5" s="3" t="s">
        <v>7</v>
      </c>
      <c r="C5" s="4" t="n">
        <v>0</v>
      </c>
      <c r="D5" s="4" t="n">
        <f aca="false">C33</f>
        <v>149856.71475</v>
      </c>
      <c r="E5" s="4" t="n">
        <f aca="false">D33</f>
        <v>274814.7252625</v>
      </c>
      <c r="F5" s="4" t="n">
        <f aca="false">E33</f>
        <v>398403.4171275</v>
      </c>
      <c r="G5" s="2"/>
    </row>
    <row r="6" customFormat="false" ht="16.5" hidden="false" customHeight="false" outlineLevel="0" collapsed="false">
      <c r="A6" s="1" t="s">
        <v>8</v>
      </c>
      <c r="B6" s="3" t="s">
        <v>9</v>
      </c>
      <c r="C6" s="4" t="n">
        <f aca="false">SUM(C7:C10)</f>
        <v>460199.6</v>
      </c>
      <c r="D6" s="4" t="n">
        <f aca="false">SUM(D7:D10)</f>
        <v>561720.5</v>
      </c>
      <c r="E6" s="4" t="n">
        <f aca="false">SUM(E7:E10)</f>
        <v>718113</v>
      </c>
      <c r="F6" s="4" t="n">
        <f aca="false">SUM(F7:F10)</f>
        <v>907076.5</v>
      </c>
      <c r="G6" s="2"/>
    </row>
    <row r="7" customFormat="false" ht="16.5" hidden="false" customHeight="false" outlineLevel="0" collapsed="false">
      <c r="A7" s="5" t="n">
        <v>1</v>
      </c>
      <c r="B7" s="6" t="s">
        <v>10</v>
      </c>
      <c r="C7" s="7" t="n">
        <f aca="false">(2100*2.5+800)*4.7*11</f>
        <v>312785</v>
      </c>
      <c r="D7" s="7" t="n">
        <f aca="false">C7*1.3</f>
        <v>406620.5</v>
      </c>
      <c r="E7" s="7" t="n">
        <f aca="false">C7*1.8</f>
        <v>563013</v>
      </c>
      <c r="F7" s="7" t="n">
        <f aca="false">C7*2.9</f>
        <v>907076.5</v>
      </c>
      <c r="G7" s="2"/>
    </row>
    <row r="8" customFormat="false" ht="16.5" hidden="false" customHeight="false" outlineLevel="0" collapsed="false">
      <c r="A8" s="5" t="n">
        <v>2</v>
      </c>
      <c r="B8" s="6" t="s">
        <v>11</v>
      </c>
      <c r="C8" s="7"/>
      <c r="D8" s="7" t="n">
        <f aca="false">33000*4.7</f>
        <v>155100</v>
      </c>
      <c r="E8" s="7" t="n">
        <f aca="false">33000*4.7</f>
        <v>155100</v>
      </c>
      <c r="F8" s="7"/>
      <c r="G8" s="2"/>
    </row>
    <row r="9" customFormat="false" ht="16.5" hidden="false" customHeight="false" outlineLevel="0" collapsed="false">
      <c r="A9" s="5" t="n">
        <v>3</v>
      </c>
      <c r="B9" s="6" t="s">
        <v>12</v>
      </c>
      <c r="C9" s="7" t="n">
        <v>0</v>
      </c>
      <c r="D9" s="7" t="n">
        <v>0</v>
      </c>
      <c r="E9" s="7" t="n">
        <v>0</v>
      </c>
      <c r="F9" s="7" t="n">
        <v>0</v>
      </c>
      <c r="G9" s="2"/>
    </row>
    <row r="10" customFormat="false" ht="16.5" hidden="false" customHeight="false" outlineLevel="0" collapsed="false">
      <c r="A10" s="5" t="n">
        <v>4</v>
      </c>
      <c r="B10" s="8" t="s">
        <v>13</v>
      </c>
      <c r="C10" s="7" t="n">
        <v>147414.6</v>
      </c>
      <c r="D10" s="7" t="n">
        <v>0</v>
      </c>
      <c r="E10" s="7" t="n">
        <v>0</v>
      </c>
      <c r="F10" s="7" t="n">
        <v>0</v>
      </c>
      <c r="G10" s="2"/>
    </row>
    <row r="11" customFormat="false" ht="16.5" hidden="false" customHeight="false" outlineLevel="0" collapsed="false">
      <c r="A11" s="1"/>
      <c r="B11" s="3" t="s">
        <v>14</v>
      </c>
      <c r="C11" s="4" t="n">
        <f aca="false">C5+C6</f>
        <v>460199.6</v>
      </c>
      <c r="D11" s="4" t="n">
        <f aca="false">D5+D6</f>
        <v>711577.21475</v>
      </c>
      <c r="E11" s="4" t="n">
        <f aca="false">E5+E6</f>
        <v>992927.7252625</v>
      </c>
      <c r="F11" s="4" t="n">
        <f aca="false">F5+F6</f>
        <v>1305479.9171275</v>
      </c>
      <c r="G11" s="2"/>
    </row>
    <row r="12" customFormat="false" ht="16.5" hidden="false" customHeight="false" outlineLevel="0" collapsed="false">
      <c r="A12" s="1" t="s">
        <v>15</v>
      </c>
      <c r="B12" s="3" t="s">
        <v>16</v>
      </c>
      <c r="C12" s="4" t="n">
        <f aca="false">SUM(C13:C22)</f>
        <v>276971.475</v>
      </c>
      <c r="D12" s="4" t="n">
        <f aca="false">SUM(D13:D22)</f>
        <v>362229.25125</v>
      </c>
      <c r="E12" s="4" t="n">
        <f aca="false">SUM(E13:E22)</f>
        <v>487620.3765</v>
      </c>
      <c r="F12" s="4" t="n">
        <f aca="false">SUM(F13:F22)</f>
        <v>660135.4143</v>
      </c>
      <c r="G12" s="2"/>
    </row>
    <row r="13" customFormat="false" ht="18" hidden="false" customHeight="false" outlineLevel="0" collapsed="false">
      <c r="A13" s="5" t="n">
        <v>1</v>
      </c>
      <c r="B13" s="9" t="s">
        <v>17</v>
      </c>
      <c r="C13" s="7"/>
      <c r="D13" s="7"/>
      <c r="E13" s="7"/>
      <c r="F13" s="7"/>
      <c r="G13" s="2"/>
    </row>
    <row r="14" customFormat="false" ht="36" hidden="false" customHeight="false" outlineLevel="0" collapsed="false">
      <c r="A14" s="5" t="n">
        <v>2</v>
      </c>
      <c r="B14" s="9" t="s">
        <v>18</v>
      </c>
      <c r="D14" s="7"/>
      <c r="E14" s="7"/>
      <c r="F14" s="7"/>
      <c r="G14" s="2"/>
    </row>
    <row r="15" customFormat="false" ht="18" hidden="false" customHeight="false" outlineLevel="0" collapsed="false">
      <c r="A15" s="5" t="n">
        <v>3</v>
      </c>
      <c r="B15" s="9" t="s">
        <v>19</v>
      </c>
      <c r="C15" s="7" t="n">
        <f aca="false">(2515+1882+1552+1107)*12</f>
        <v>84672</v>
      </c>
      <c r="D15" s="7" t="n">
        <f aca="false">C15*1.5</f>
        <v>127008</v>
      </c>
      <c r="E15" s="7" t="n">
        <f aca="false">C15*2</f>
        <v>169344</v>
      </c>
      <c r="F15" s="7" t="n">
        <f aca="false">C15*3</f>
        <v>254016</v>
      </c>
      <c r="G15" s="2"/>
    </row>
    <row r="16" customFormat="false" ht="18" hidden="false" customHeight="false" outlineLevel="0" collapsed="false">
      <c r="A16" s="5" t="n">
        <v>4</v>
      </c>
      <c r="B16" s="9" t="s">
        <v>20</v>
      </c>
      <c r="C16" s="7" t="n">
        <f aca="false">4400*12</f>
        <v>52800</v>
      </c>
      <c r="D16" s="7" t="n">
        <f aca="false">4400*12</f>
        <v>52800</v>
      </c>
      <c r="E16" s="7" t="n">
        <f aca="false">4400*12</f>
        <v>52800</v>
      </c>
      <c r="F16" s="7"/>
      <c r="G16" s="2"/>
    </row>
    <row r="17" customFormat="false" ht="18" hidden="false" customHeight="false" outlineLevel="0" collapsed="false">
      <c r="A17" s="5" t="n">
        <v>5</v>
      </c>
      <c r="B17" s="9" t="s">
        <v>21</v>
      </c>
      <c r="C17" s="7" t="n">
        <v>7140</v>
      </c>
      <c r="D17" s="7" t="n">
        <f aca="false">C17*1.25</f>
        <v>8925</v>
      </c>
      <c r="E17" s="7" t="n">
        <f aca="false">D17*1.25</f>
        <v>11156.25</v>
      </c>
      <c r="F17" s="7" t="n">
        <f aca="false">E17*1.25</f>
        <v>13945.3125</v>
      </c>
      <c r="G17" s="2"/>
    </row>
    <row r="18" customFormat="false" ht="18" hidden="false" customHeight="false" outlineLevel="0" collapsed="false">
      <c r="A18" s="5" t="n">
        <v>6</v>
      </c>
      <c r="B18" s="9" t="s">
        <v>22</v>
      </c>
      <c r="C18" s="7" t="n">
        <f aca="false">(2700+2400)*2.5*10%*4.7*11</f>
        <v>65917.5</v>
      </c>
      <c r="D18" s="7" t="n">
        <f aca="false">C18*1.35</f>
        <v>88988.625</v>
      </c>
      <c r="E18" s="7" t="n">
        <f aca="false">C18*1.9</f>
        <v>125243.25</v>
      </c>
      <c r="F18" s="7" t="n">
        <f aca="false">C18*3</f>
        <v>197752.5</v>
      </c>
      <c r="G18" s="2"/>
    </row>
    <row r="19" customFormat="false" ht="18" hidden="false" customHeight="false" outlineLevel="0" collapsed="false">
      <c r="A19" s="5" t="n">
        <v>7</v>
      </c>
      <c r="B19" s="9" t="s">
        <v>23</v>
      </c>
      <c r="C19" s="7"/>
      <c r="D19" s="7"/>
      <c r="E19" s="7"/>
      <c r="F19" s="7"/>
      <c r="G19" s="2"/>
    </row>
    <row r="20" customFormat="false" ht="18" hidden="false" customHeight="false" outlineLevel="0" collapsed="false">
      <c r="A20" s="5" t="n">
        <v>8</v>
      </c>
      <c r="B20" s="9" t="s">
        <v>24</v>
      </c>
      <c r="C20" s="7" t="n">
        <f aca="false">25%*C18</f>
        <v>16479.375</v>
      </c>
      <c r="D20" s="7" t="n">
        <f aca="false">D18*25%</f>
        <v>22247.15625</v>
      </c>
      <c r="E20" s="7" t="n">
        <f aca="false">E18*25%</f>
        <v>31310.8125</v>
      </c>
      <c r="F20" s="7" t="n">
        <f aca="false">F18*25%</f>
        <v>49438.125</v>
      </c>
      <c r="G20" s="2"/>
    </row>
    <row r="21" customFormat="false" ht="36" hidden="false" customHeight="false" outlineLevel="0" collapsed="false">
      <c r="A21" s="5" t="n">
        <v>9</v>
      </c>
      <c r="B21" s="9" t="s">
        <v>25</v>
      </c>
      <c r="C21" s="7" t="n">
        <f aca="false">270*1.19*12</f>
        <v>3855.6</v>
      </c>
      <c r="D21" s="7" t="n">
        <f aca="false">C21*1.2</f>
        <v>4626.72</v>
      </c>
      <c r="E21" s="7" t="n">
        <f aca="false">D21*1.2</f>
        <v>5552.064</v>
      </c>
      <c r="F21" s="7" t="n">
        <f aca="false">E21*1.2</f>
        <v>6662.4768</v>
      </c>
      <c r="G21" s="2"/>
    </row>
    <row r="22" customFormat="false" ht="36" hidden="false" customHeight="false" outlineLevel="0" collapsed="false">
      <c r="A22" s="5" t="n">
        <v>10</v>
      </c>
      <c r="B22" s="9" t="s">
        <v>26</v>
      </c>
      <c r="C22" s="7" t="n">
        <f aca="false">240*12*4.7+150*11*4.7+(16*10*11+20*16*11)*4.7</f>
        <v>46107</v>
      </c>
      <c r="D22" s="7" t="n">
        <f aca="false">C22*1.25</f>
        <v>57633.75</v>
      </c>
      <c r="E22" s="7" t="n">
        <f aca="false">C22*2</f>
        <v>92214</v>
      </c>
      <c r="F22" s="7" t="n">
        <f aca="false">C22*3</f>
        <v>138321</v>
      </c>
      <c r="G22" s="2"/>
    </row>
    <row r="23" customFormat="false" ht="16.5" hidden="false" customHeight="false" outlineLevel="0" collapsed="false">
      <c r="A23" s="1" t="s">
        <v>27</v>
      </c>
      <c r="B23" s="10" t="s">
        <v>28</v>
      </c>
      <c r="C23" s="4" t="n">
        <f aca="false">C24+C25</f>
        <v>1800</v>
      </c>
      <c r="D23" s="4" t="n">
        <f aca="false">D24+D25</f>
        <v>36110</v>
      </c>
      <c r="E23" s="4" t="n">
        <f aca="false">E24+E25</f>
        <v>54910</v>
      </c>
      <c r="F23" s="4" t="n">
        <f aca="false">F24+F25</f>
        <v>108020</v>
      </c>
      <c r="G23" s="2"/>
    </row>
    <row r="24" customFormat="false" ht="16.5" hidden="false" customHeight="false" outlineLevel="0" collapsed="false">
      <c r="A24" s="5" t="s">
        <v>29</v>
      </c>
      <c r="B24" s="6" t="s">
        <v>30</v>
      </c>
      <c r="C24" s="7"/>
      <c r="D24" s="7" t="n">
        <f aca="false">$C9/2+4000*4.7</f>
        <v>18800</v>
      </c>
      <c r="E24" s="7" t="n">
        <f aca="false">$C9/2+8000*4.7</f>
        <v>37600</v>
      </c>
      <c r="F24" s="7" t="n">
        <f aca="false">16000*4.7</f>
        <v>75200</v>
      </c>
      <c r="G24" s="2"/>
    </row>
    <row r="25" customFormat="false" ht="16.5" hidden="false" customHeight="false" outlineLevel="0" collapsed="false">
      <c r="A25" s="5" t="s">
        <v>31</v>
      </c>
      <c r="B25" s="6" t="s">
        <v>32</v>
      </c>
      <c r="C25" s="7" t="n">
        <f aca="false">150*12</f>
        <v>1800</v>
      </c>
      <c r="D25" s="7" t="n">
        <f aca="false">150*12+33000*10%*4.7</f>
        <v>17310</v>
      </c>
      <c r="E25" s="7" t="n">
        <f aca="false">150*12+33000*10%*4.7</f>
        <v>17310</v>
      </c>
      <c r="F25" s="7" t="n">
        <f aca="false">150*12+2*33000*10%*4.7</f>
        <v>32820</v>
      </c>
      <c r="G25" s="2"/>
    </row>
    <row r="26" customFormat="false" ht="16.5" hidden="false" customHeight="false" outlineLevel="0" collapsed="false">
      <c r="A26" s="11" t="s">
        <v>33</v>
      </c>
      <c r="B26" s="12" t="s">
        <v>34</v>
      </c>
      <c r="C26" s="13" t="n">
        <f aca="false">C27-C28+C29</f>
        <v>31571.41025</v>
      </c>
      <c r="D26" s="13" t="n">
        <f aca="false">D27-D28+D29</f>
        <v>38423.2382375</v>
      </c>
      <c r="E26" s="13" t="n">
        <f aca="false">E27-E28+E29</f>
        <v>51993.931635</v>
      </c>
      <c r="F26" s="13" t="n">
        <f aca="false">F27-F28+F29</f>
        <v>96662.632462</v>
      </c>
      <c r="G26" s="2"/>
    </row>
    <row r="27" customFormat="false" ht="16.5" hidden="false" customHeight="false" outlineLevel="0" collapsed="false">
      <c r="A27" s="5" t="n">
        <v>1</v>
      </c>
      <c r="B27" s="6" t="s">
        <v>35</v>
      </c>
      <c r="C27" s="7" t="n">
        <f aca="false">(702.52+51.3+95)*12+(C18+C20)*0.19</f>
        <v>25841.24625</v>
      </c>
      <c r="D27" s="7" t="n">
        <f aca="false">(702.52+51.3+95)*12+(D18+D20)*0.19</f>
        <v>31320.6384375</v>
      </c>
      <c r="E27" s="7" t="n">
        <f aca="false">(702.52+51.3+95)*12+(E18+E20)*0.19</f>
        <v>39931.111875</v>
      </c>
      <c r="F27" s="7" t="n">
        <f aca="false">(702.52+51.3+95)*12+(F18+F20)*0.19</f>
        <v>57152.05875</v>
      </c>
      <c r="G27" s="2"/>
    </row>
    <row r="28" customFormat="false" ht="16.5" hidden="false" customHeight="false" outlineLevel="0" collapsed="false">
      <c r="A28" s="5" t="n">
        <v>2</v>
      </c>
      <c r="B28" s="6" t="s">
        <v>36</v>
      </c>
      <c r="C28" s="7"/>
      <c r="D28" s="7"/>
      <c r="E28" s="7"/>
      <c r="F28" s="7"/>
      <c r="G28" s="2"/>
    </row>
    <row r="29" customFormat="false" ht="16.5" hidden="false" customHeight="false" outlineLevel="0" collapsed="false">
      <c r="A29" s="5" t="n">
        <v>3</v>
      </c>
      <c r="B29" s="6" t="s">
        <v>37</v>
      </c>
      <c r="C29" s="7" t="n">
        <f aca="false">(C7-C12)*16%</f>
        <v>5730.164</v>
      </c>
      <c r="D29" s="7" t="n">
        <f aca="false">(D7-D12)*16%</f>
        <v>7102.5998</v>
      </c>
      <c r="E29" s="7" t="n">
        <f aca="false">(E7-E12)*16%</f>
        <v>12062.81976</v>
      </c>
      <c r="F29" s="7" t="n">
        <f aca="false">(F7-F12)*16%</f>
        <v>39510.573712</v>
      </c>
      <c r="G29" s="2"/>
    </row>
    <row r="30" customFormat="false" ht="16.5" hidden="false" customHeight="false" outlineLevel="0" collapsed="false">
      <c r="A30" s="11" t="s">
        <v>38</v>
      </c>
      <c r="B30" s="12" t="s">
        <v>39</v>
      </c>
      <c r="C30" s="13"/>
      <c r="D30" s="13"/>
      <c r="E30" s="13"/>
      <c r="F30" s="13"/>
      <c r="G30" s="2"/>
    </row>
    <row r="31" customFormat="false" ht="16.5" hidden="false" customHeight="false" outlineLevel="0" collapsed="false">
      <c r="A31" s="1" t="s">
        <v>40</v>
      </c>
      <c r="B31" s="3" t="s">
        <v>41</v>
      </c>
      <c r="C31" s="4" t="n">
        <f aca="false">C12+C23+C26+C30</f>
        <v>310342.88525</v>
      </c>
      <c r="D31" s="4" t="n">
        <f aca="false">D12+D23+D26+D30</f>
        <v>436762.4894875</v>
      </c>
      <c r="E31" s="4" t="n">
        <f aca="false">E12+E23+E26+E30</f>
        <v>594524.308135</v>
      </c>
      <c r="F31" s="4" t="n">
        <f aca="false">F12+F23+F26+F30</f>
        <v>864818.046762</v>
      </c>
      <c r="G31" s="2"/>
    </row>
    <row r="32" customFormat="false" ht="16.5" hidden="false" customHeight="false" outlineLevel="0" collapsed="false">
      <c r="A32" s="1" t="s">
        <v>42</v>
      </c>
      <c r="B32" s="3" t="s">
        <v>43</v>
      </c>
      <c r="C32" s="4" t="n">
        <f aca="false">C6-C31</f>
        <v>149856.71475</v>
      </c>
      <c r="D32" s="4" t="n">
        <f aca="false">D6-D31</f>
        <v>124958.0105125</v>
      </c>
      <c r="E32" s="4" t="n">
        <f aca="false">E6-E31</f>
        <v>123588.691865</v>
      </c>
      <c r="F32" s="4" t="n">
        <f aca="false">F6-F31</f>
        <v>42258.4532379999</v>
      </c>
      <c r="G32" s="2"/>
    </row>
    <row r="33" customFormat="false" ht="16.5" hidden="false" customHeight="false" outlineLevel="0" collapsed="false">
      <c r="A33" s="1" t="s">
        <v>44</v>
      </c>
      <c r="B33" s="3" t="s">
        <v>45</v>
      </c>
      <c r="C33" s="4" t="n">
        <f aca="false">C5+C32</f>
        <v>149856.71475</v>
      </c>
      <c r="D33" s="4" t="n">
        <f aca="false">D5+D32</f>
        <v>274814.7252625</v>
      </c>
      <c r="E33" s="4" t="n">
        <f aca="false">E5+E32</f>
        <v>398403.4171275</v>
      </c>
      <c r="F33" s="4" t="n">
        <f aca="false">F5+F32</f>
        <v>440661.8703655</v>
      </c>
      <c r="G33" s="2"/>
    </row>
  </sheetData>
  <mergeCells count="6">
    <mergeCell ref="A3:A4"/>
    <mergeCell ref="B3:B4"/>
    <mergeCell ref="C3:C4"/>
    <mergeCell ref="D3:D4"/>
    <mergeCell ref="E3:E4"/>
    <mergeCell ref="F3:F4"/>
  </mergeCells>
  <printOptions headings="false" gridLines="false" gridLinesSet="true" horizontalCentered="false" verticalCentered="false"/>
  <pageMargins left="0.7" right="0.181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16.71"/>
    <col collapsed="false" customWidth="true" hidden="false" outlineLevel="0" max="3" min="3" style="0" width="18"/>
    <col collapsed="false" customWidth="true" hidden="false" outlineLevel="0" max="4" min="4" style="0" width="15.28"/>
    <col collapsed="false" customWidth="true" hidden="false" outlineLevel="0" max="1025" min="5" style="0" width="9"/>
  </cols>
  <sheetData>
    <row r="1" customFormat="false" ht="13.9" hidden="false" customHeight="true" outlineLevel="0" collapsed="false">
      <c r="A1" s="14" t="s">
        <v>46</v>
      </c>
      <c r="B1" s="15" t="s">
        <v>47</v>
      </c>
      <c r="C1" s="15"/>
      <c r="D1" s="15"/>
    </row>
    <row r="2" customFormat="false" ht="31.5" hidden="false" customHeight="true" outlineLevel="0" collapsed="false">
      <c r="A2" s="14"/>
      <c r="B2" s="16" t="s">
        <v>48</v>
      </c>
      <c r="C2" s="16" t="s">
        <v>49</v>
      </c>
      <c r="D2" s="16" t="s">
        <v>50</v>
      </c>
    </row>
    <row r="3" customFormat="false" ht="15" hidden="false" customHeight="false" outlineLevel="0" collapsed="false">
      <c r="A3" s="17"/>
      <c r="B3" s="17"/>
      <c r="C3" s="17"/>
      <c r="D3" s="17"/>
    </row>
    <row r="4" customFormat="false" ht="16.5" hidden="false" customHeight="false" outlineLevel="0" collapsed="false">
      <c r="A4" s="18" t="s">
        <v>51</v>
      </c>
      <c r="B4" s="19" t="n">
        <f aca="false">4400*11</f>
        <v>48400</v>
      </c>
      <c r="C4" s="20"/>
      <c r="D4" s="20" t="n">
        <f aca="false">B4+C4</f>
        <v>48400</v>
      </c>
    </row>
    <row r="5" customFormat="false" ht="16.5" hidden="false" customHeight="false" outlineLevel="0" collapsed="false">
      <c r="A5" s="21"/>
      <c r="B5" s="22"/>
      <c r="C5" s="23"/>
      <c r="D5" s="23"/>
    </row>
    <row r="6" customFormat="false" ht="16.5" hidden="false" customHeight="false" outlineLevel="0" collapsed="false">
      <c r="A6" s="18" t="s">
        <v>52</v>
      </c>
      <c r="B6" s="19" t="n">
        <f aca="false">2515*11</f>
        <v>27665</v>
      </c>
      <c r="C6" s="20"/>
      <c r="D6" s="20" t="n">
        <f aca="false">B6+C6</f>
        <v>27665</v>
      </c>
    </row>
    <row r="7" customFormat="false" ht="33" hidden="false" customHeight="false" outlineLevel="0" collapsed="false">
      <c r="A7" s="24" t="s">
        <v>53</v>
      </c>
      <c r="B7" s="19" t="n">
        <f aca="false">1881*11</f>
        <v>20691</v>
      </c>
      <c r="C7" s="20"/>
      <c r="D7" s="20" t="n">
        <f aca="false">B7+C7</f>
        <v>20691</v>
      </c>
    </row>
    <row r="8" customFormat="false" ht="16.5" hidden="false" customHeight="false" outlineLevel="0" collapsed="false">
      <c r="A8" s="18" t="s">
        <v>54</v>
      </c>
      <c r="B8" s="19" t="n">
        <f aca="false">1552*12</f>
        <v>18624</v>
      </c>
      <c r="C8" s="20"/>
      <c r="D8" s="20" t="n">
        <f aca="false">B8+C8</f>
        <v>18624</v>
      </c>
    </row>
    <row r="9" customFormat="false" ht="33" hidden="false" customHeight="false" outlineLevel="0" collapsed="false">
      <c r="A9" s="24" t="s">
        <v>55</v>
      </c>
      <c r="B9" s="19" t="n">
        <f aca="false">1107*12</f>
        <v>13284</v>
      </c>
      <c r="C9" s="20"/>
      <c r="D9" s="20" t="n">
        <f aca="false">B9+C9</f>
        <v>13284</v>
      </c>
    </row>
    <row r="10" customFormat="false" ht="16.5" hidden="false" customHeight="false" outlineLevel="0" collapsed="false">
      <c r="A10" s="25"/>
      <c r="B10" s="22"/>
      <c r="C10" s="23"/>
      <c r="D10" s="23"/>
    </row>
    <row r="11" customFormat="false" ht="16.5" hidden="false" customHeight="false" outlineLevel="0" collapsed="false">
      <c r="A11" s="18" t="s">
        <v>56</v>
      </c>
      <c r="B11" s="19" t="n">
        <v>3855.6</v>
      </c>
      <c r="C11" s="20"/>
      <c r="D11" s="20" t="n">
        <f aca="false">B11+C11</f>
        <v>3855.6</v>
      </c>
    </row>
    <row r="12" customFormat="false" ht="16.5" hidden="false" customHeight="false" outlineLevel="0" collapsed="false">
      <c r="A12" s="18" t="s">
        <v>57</v>
      </c>
      <c r="B12" s="19" t="n">
        <v>7140</v>
      </c>
      <c r="C12" s="20"/>
      <c r="D12" s="20" t="n">
        <f aca="false">B12+C12</f>
        <v>7140</v>
      </c>
    </row>
    <row r="13" customFormat="false" ht="16.5" hidden="false" customHeight="false" outlineLevel="0" collapsed="false">
      <c r="A13" s="18" t="s">
        <v>58</v>
      </c>
      <c r="B13" s="19" t="n">
        <f aca="false">150*4.7*11</f>
        <v>7755</v>
      </c>
      <c r="C13" s="20"/>
      <c r="D13" s="20" t="n">
        <f aca="false">B13+C13</f>
        <v>7755</v>
      </c>
    </row>
    <row r="14" customFormat="false" ht="16.5" hidden="false" customHeight="false" outlineLevel="0" collapsed="false">
      <c r="A14" s="18"/>
      <c r="B14" s="19"/>
      <c r="C14" s="20"/>
      <c r="D14" s="20"/>
    </row>
    <row r="15" customFormat="false" ht="15" hidden="false" customHeight="false" outlineLevel="0" collapsed="false">
      <c r="A15" s="20" t="s">
        <v>50</v>
      </c>
      <c r="B15" s="19" t="n">
        <f aca="false">SUM(B4:B13)</f>
        <v>147414.6</v>
      </c>
      <c r="C15" s="20"/>
      <c r="D15" s="20" t="n">
        <f aca="false">B15+C15</f>
        <v>147414.6</v>
      </c>
    </row>
    <row r="16" customFormat="false" ht="15" hidden="false" customHeight="false" outlineLevel="0" collapsed="false">
      <c r="A16" s="20"/>
      <c r="B16" s="20"/>
      <c r="C16" s="20"/>
      <c r="D16" s="20"/>
    </row>
  </sheetData>
  <mergeCells count="2">
    <mergeCell ref="A1:A2"/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2017-12-21T19:20:00Z</dcterms:created>
  <dc:creator>Metodo Consultores</dc:creator>
  <dc:description/>
  <dc:language>en-US</dc:language>
  <cp:lastModifiedBy/>
  <dcterms:modified xsi:type="dcterms:W3CDTF">2019-01-27T22:22:10Z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KSOProductBuildVer">
    <vt:lpwstr>1033-10.1.0.6757</vt:lpwstr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